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\Dropbox\research\immigration\cps immigration blogpost\"/>
    </mc:Choice>
  </mc:AlternateContent>
  <xr:revisionPtr revIDLastSave="0" documentId="13_ncr:1_{0EBA95D4-6C76-4574-B6D5-228A9212436A}" xr6:coauthVersionLast="47" xr6:coauthVersionMax="47" xr10:uidLastSave="{00000000-0000-0000-0000-000000000000}"/>
  <bookViews>
    <workbookView xWindow="-120" yWindow="-120" windowWidth="38640" windowHeight="21120" activeTab="1" xr2:uid="{A91A2213-701E-4CF9-82FA-E83C23E10C1F}"/>
  </bookViews>
  <sheets>
    <sheet name="response rates" sheetId="1" r:id="rId1"/>
    <sheet name="alternative breakeven rat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26" i="2"/>
  <c r="E26" i="2"/>
  <c r="B40" i="2"/>
  <c r="B37" i="2"/>
  <c r="B3" i="2"/>
  <c r="B5" i="2" s="1"/>
  <c r="B8" i="2" l="1"/>
  <c r="K16" i="2" s="1"/>
  <c r="K21" i="2" s="1"/>
  <c r="M21" i="2" s="1"/>
  <c r="K22" i="2" l="1"/>
  <c r="M22" i="2" s="1"/>
  <c r="M26" i="2" s="1"/>
  <c r="B39" i="2" s="1"/>
  <c r="B42" i="2" s="1"/>
  <c r="K18" i="2"/>
  <c r="M18" i="2" s="1"/>
  <c r="K19" i="2"/>
  <c r="M19" i="2" s="1"/>
  <c r="K23" i="2"/>
  <c r="M23" i="2" s="1"/>
  <c r="K20" i="2"/>
  <c r="M20" i="2" s="1"/>
  <c r="K24" i="2"/>
  <c r="M24" i="2" s="1"/>
  <c r="B17" i="1"/>
  <c r="B16" i="1"/>
  <c r="B19" i="1" s="1"/>
  <c r="B14" i="1"/>
  <c r="B23" i="1" l="1"/>
  <c r="B20" i="1"/>
  <c r="B21" i="1" l="1"/>
  <c r="B24" i="1"/>
  <c r="B26" i="1" l="1"/>
  <c r="B29" i="1" s="1"/>
  <c r="B27" i="1"/>
  <c r="B30" i="1" s="1"/>
</calcChain>
</file>

<file path=xl/sharedStrings.xml><?xml version="1.0" encoding="utf-8"?>
<sst xmlns="http://schemas.openxmlformats.org/spreadsheetml/2006/main" count="77" uniqueCount="72">
  <si>
    <t>survey response rate, %</t>
  </si>
  <si>
    <t>Jan 2022</t>
  </si>
  <si>
    <t>Jan 2025</t>
  </si>
  <si>
    <t>Jul 2025</t>
  </si>
  <si>
    <t>foreign born adult population</t>
  </si>
  <si>
    <t>native born adult population</t>
  </si>
  <si>
    <t>total adult population</t>
  </si>
  <si>
    <t>AS PUBLISHED, CPS</t>
  </si>
  <si>
    <t>CALCULATED AND ESTIMATED</t>
  </si>
  <si>
    <t>annualized change in response rate, Jan 2022 to Jan 2025</t>
  </si>
  <si>
    <t>annualized change in response rate, Jan 2025 to Jul 2025</t>
  </si>
  <si>
    <t>foreign-born share of adult population, January 2025</t>
  </si>
  <si>
    <t>response rate, native-born, assuming 2022-2025 decline continued into 2025</t>
  </si>
  <si>
    <t>response rate, foreign-born, assuming above decline in native-born and actual July 2025 response rate</t>
  </si>
  <si>
    <t>this is the rate that, when weighted-averaged with the assumed native-born rate, equals the published July 2025 rate</t>
  </si>
  <si>
    <t>check: weighted average of native and foreign born rates, weighted by foreign-born share</t>
  </si>
  <si>
    <t>from above</t>
  </si>
  <si>
    <t>extrapolation of pre-2025 trend</t>
  </si>
  <si>
    <t>implied native-born population with assumed response-rate decline, July 2025</t>
  </si>
  <si>
    <t>implied foreign-born population with assumed response-rate decline, July 2025</t>
  </si>
  <si>
    <t>adjusted native-born population to match total population control, July 2025</t>
  </si>
  <si>
    <t>adjusted foreign-born population to match total population control, July 2025</t>
  </si>
  <si>
    <t>implied change in native-born population, January to July 2025</t>
  </si>
  <si>
    <t>implied change in foreign-born population, January to July 2025</t>
  </si>
  <si>
    <t>preserve native/foreign shares in above lines, and proportionately increase to match July 2025 population control</t>
  </si>
  <si>
    <t>confirmed: this is the published July 2025 rate</t>
  </si>
  <si>
    <t>https://data.bls.gov/timeseries/LNU09300000</t>
  </si>
  <si>
    <t>https://data.bls.gov/timeseries/LNU00073413</t>
  </si>
  <si>
    <t>https://data.bls.gov/timeseries/LNU00073395</t>
  </si>
  <si>
    <t>https://data.bls.gov/timeseries/LNU00000000</t>
  </si>
  <si>
    <t>January 2025 population, adjusted to July 2025 with only the change in response rate</t>
  </si>
  <si>
    <t>alternative estimates of the breakeven rate</t>
  </si>
  <si>
    <t>Census projected adult population change, June to December 2025</t>
  </si>
  <si>
    <t>from Census estimates below</t>
  </si>
  <si>
    <t>Estimated natural increase, six months</t>
  </si>
  <si>
    <t>Implied net immigration</t>
  </si>
  <si>
    <t>difference between above lines</t>
  </si>
  <si>
    <t>FOR INPUT: ESTIMATE OF IMMIGRATION RATE, SIX MONTHS</t>
  </si>
  <si>
    <t>difference from Census implied immigration rate</t>
  </si>
  <si>
    <t>by age group: calculate population change with fixed EPOP</t>
  </si>
  <si>
    <t>official Census estimates</t>
  </si>
  <si>
    <t>age group</t>
  </si>
  <si>
    <t>EPOP, 2024 average</t>
  </si>
  <si>
    <t>16-24</t>
  </si>
  <si>
    <t>25-34</t>
  </si>
  <si>
    <t>35-44</t>
  </si>
  <si>
    <t>45-54</t>
  </si>
  <si>
    <t>55-64</t>
  </si>
  <si>
    <t>65-74</t>
  </si>
  <si>
    <t>75+</t>
  </si>
  <si>
    <t>payroll-household survey conversion</t>
  </si>
  <si>
    <t>nonfarm jobs per employed adult, July 2024</t>
  </si>
  <si>
    <t>from CPS: LNS16000000 divided by LNS12000000</t>
  </si>
  <si>
    <t>nonfarm jobs per employed adult, July 2025</t>
  </si>
  <si>
    <t>convert monthly change in employed to nonfarm jobs</t>
  </si>
  <si>
    <t>breakeven rate from above, multiplied by July 2025 conversion rate</t>
  </si>
  <si>
    <t>add incremental job growth needed as conversion rate grows</t>
  </si>
  <si>
    <t>growth in conversion rate, multiplied by CPS July 2025 employment level</t>
  </si>
  <si>
    <t>grand total monthly breakeven rate</t>
  </si>
  <si>
    <t>difference from above, monthly rate</t>
  </si>
  <si>
    <t>monthly rate of change</t>
  </si>
  <si>
    <t>adjusted implied native born population in July 2025 minus reported native born population from January 2025</t>
  </si>
  <si>
    <t>adjusted implied foreign born population in July 2025 minus reported foreign born population from January 2025</t>
  </si>
  <si>
    <t>all adults</t>
  </si>
  <si>
    <t>difference</t>
  </si>
  <si>
    <t>response rate calculation</t>
  </si>
  <si>
    <t>from the "natural increase" worksheet in related PIIE report: https://www.piie.com/sites/default/files/2025-08/2025-08-27-kolko.xlsx</t>
  </si>
  <si>
    <t>age distribution of non-citizen immigrant adults, CPS</t>
  </si>
  <si>
    <t>from above: difference from Census, distributed across age groups</t>
  </si>
  <si>
    <t>change in employed people by age group (population change multiplied by employment-population ratio)</t>
  </si>
  <si>
    <t>monthly breakeven rate, before adjusting for payroll concept: equals sum of above changes</t>
  </si>
  <si>
    <t>change only this cell; keep it equal to B5 to use the original Census estimate rate; three scenarios in the blogpost are 545166, 0, and -1900000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</si>
</sst>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quotePrefix="1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17" fontId="0" fillId="0" borderId="0" xfId="0" applyNumberFormat="1"/>
    <xf numFmtId="9" fontId="0" fillId="0" borderId="0" xfId="1" applyFont="1"/>
    <xf numFmtId="166" fontId="0" fillId="0" borderId="0" xfId="0" applyNumberFormat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B45C-B9B2-4D45-AB55-D8976D8385E1}">
  <dimension ref="A1:E30"/>
  <sheetViews>
    <sheetView workbookViewId="0">
      <selection activeCell="A6" sqref="A6"/>
    </sheetView>
  </sheetViews>
  <sheetFormatPr defaultRowHeight="15" x14ac:dyDescent="0.25"/>
  <cols>
    <col min="1" max="1" width="93.7109375" bestFit="1" customWidth="1"/>
  </cols>
  <sheetData>
    <row r="1" spans="1:5" x14ac:dyDescent="0.25">
      <c r="A1" s="2" t="s">
        <v>65</v>
      </c>
    </row>
    <row r="4" spans="1:5" x14ac:dyDescent="0.25">
      <c r="A4" s="2" t="s">
        <v>7</v>
      </c>
    </row>
    <row r="5" spans="1:5" x14ac:dyDescent="0.25">
      <c r="A5" s="2"/>
      <c r="B5" s="1" t="s">
        <v>1</v>
      </c>
      <c r="C5" s="1" t="s">
        <v>2</v>
      </c>
      <c r="D5" s="1" t="s">
        <v>3</v>
      </c>
    </row>
    <row r="6" spans="1:5" x14ac:dyDescent="0.25">
      <c r="A6" t="s">
        <v>0</v>
      </c>
      <c r="B6">
        <v>73.3</v>
      </c>
      <c r="C6">
        <v>68.8</v>
      </c>
      <c r="D6">
        <v>67.099999999999994</v>
      </c>
      <c r="E6" t="s">
        <v>26</v>
      </c>
    </row>
    <row r="7" spans="1:5" x14ac:dyDescent="0.25">
      <c r="A7" t="s">
        <v>5</v>
      </c>
      <c r="C7">
        <v>222243</v>
      </c>
      <c r="D7">
        <v>225276</v>
      </c>
      <c r="E7" t="s">
        <v>27</v>
      </c>
    </row>
    <row r="8" spans="1:5" x14ac:dyDescent="0.25">
      <c r="A8" t="s">
        <v>4</v>
      </c>
      <c r="C8">
        <v>50442</v>
      </c>
      <c r="D8">
        <v>48510</v>
      </c>
      <c r="E8" t="s">
        <v>28</v>
      </c>
    </row>
    <row r="9" spans="1:5" x14ac:dyDescent="0.25">
      <c r="A9" t="s">
        <v>6</v>
      </c>
      <c r="C9">
        <v>272685</v>
      </c>
      <c r="D9">
        <v>273785</v>
      </c>
      <c r="E9" t="s">
        <v>29</v>
      </c>
    </row>
    <row r="12" spans="1:5" x14ac:dyDescent="0.25">
      <c r="A12" s="2" t="s">
        <v>8</v>
      </c>
    </row>
    <row r="14" spans="1:5" x14ac:dyDescent="0.25">
      <c r="A14" t="s">
        <v>11</v>
      </c>
      <c r="B14" s="3">
        <f>C8/C9</f>
        <v>0.1849826723142087</v>
      </c>
      <c r="E14" t="s">
        <v>16</v>
      </c>
    </row>
    <row r="16" spans="1:5" x14ac:dyDescent="0.25">
      <c r="A16" t="s">
        <v>9</v>
      </c>
      <c r="B16">
        <f>(C6-B6)/3</f>
        <v>-1.5</v>
      </c>
      <c r="E16" t="s">
        <v>16</v>
      </c>
    </row>
    <row r="17" spans="1:5" x14ac:dyDescent="0.25">
      <c r="A17" t="s">
        <v>10</v>
      </c>
      <c r="B17">
        <f>(D6-C6)*2</f>
        <v>-3.4000000000000057</v>
      </c>
      <c r="E17" t="s">
        <v>16</v>
      </c>
    </row>
    <row r="19" spans="1:5" x14ac:dyDescent="0.25">
      <c r="A19" t="s">
        <v>12</v>
      </c>
      <c r="B19" s="4">
        <f>C6+(B16/2)</f>
        <v>68.05</v>
      </c>
      <c r="E19" t="s">
        <v>17</v>
      </c>
    </row>
    <row r="20" spans="1:5" x14ac:dyDescent="0.25">
      <c r="A20" t="s">
        <v>13</v>
      </c>
      <c r="B20" s="4">
        <f>(D6-B19*(1-B14))/B14</f>
        <v>62.914383846794308</v>
      </c>
      <c r="E20" t="s">
        <v>14</v>
      </c>
    </row>
    <row r="21" spans="1:5" x14ac:dyDescent="0.25">
      <c r="A21" t="s">
        <v>15</v>
      </c>
      <c r="B21" s="4">
        <f>B20*B14+B19*(1-B14)</f>
        <v>67.099999999999994</v>
      </c>
      <c r="E21" t="s">
        <v>25</v>
      </c>
    </row>
    <row r="23" spans="1:5" x14ac:dyDescent="0.25">
      <c r="A23" t="s">
        <v>18</v>
      </c>
      <c r="B23" s="5">
        <f>C7*(B19/C6)</f>
        <v>219820.29287790699</v>
      </c>
      <c r="E23" t="s">
        <v>30</v>
      </c>
    </row>
    <row r="24" spans="1:5" x14ac:dyDescent="0.25">
      <c r="A24" t="s">
        <v>19</v>
      </c>
      <c r="B24" s="5">
        <f>C8*(B20/C6)</f>
        <v>46126.851017441841</v>
      </c>
      <c r="E24" t="s">
        <v>30</v>
      </c>
    </row>
    <row r="26" spans="1:5" x14ac:dyDescent="0.25">
      <c r="A26" t="s">
        <v>20</v>
      </c>
      <c r="B26" s="5">
        <f>B23/SUM(B23:B24)*D9</f>
        <v>226298.72238545335</v>
      </c>
      <c r="E26" t="s">
        <v>24</v>
      </c>
    </row>
    <row r="27" spans="1:5" x14ac:dyDescent="0.25">
      <c r="A27" t="s">
        <v>21</v>
      </c>
      <c r="B27" s="5">
        <f>B24/SUM(B23:B24)*D9</f>
        <v>47486.277614546627</v>
      </c>
      <c r="E27" t="s">
        <v>24</v>
      </c>
    </row>
    <row r="29" spans="1:5" x14ac:dyDescent="0.25">
      <c r="A29" t="s">
        <v>22</v>
      </c>
      <c r="B29" s="5">
        <f>B26-C7</f>
        <v>4055.7223854533513</v>
      </c>
      <c r="E29" t="s">
        <v>61</v>
      </c>
    </row>
    <row r="30" spans="1:5" x14ac:dyDescent="0.25">
      <c r="A30" t="s">
        <v>23</v>
      </c>
      <c r="B30" s="5">
        <f>B27-C8</f>
        <v>-2955.7223854533731</v>
      </c>
      <c r="E3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BD16-8169-4FDF-97FC-1248C9230B05}">
  <dimension ref="A1:N46"/>
  <sheetViews>
    <sheetView tabSelected="1" workbookViewId="0">
      <selection activeCell="D7" sqref="D7"/>
    </sheetView>
  </sheetViews>
  <sheetFormatPr defaultRowHeight="15" x14ac:dyDescent="0.25"/>
  <cols>
    <col min="1" max="1" width="61.28515625" bestFit="1" customWidth="1"/>
    <col min="2" max="2" width="9.5703125" bestFit="1" customWidth="1"/>
    <col min="5" max="6" width="10" bestFit="1" customWidth="1"/>
    <col min="9" max="9" width="44.28515625" customWidth="1"/>
    <col min="11" max="11" width="12.28515625" bestFit="1" customWidth="1"/>
    <col min="13" max="13" width="12.28515625" bestFit="1" customWidth="1"/>
  </cols>
  <sheetData>
    <row r="1" spans="1:11" x14ac:dyDescent="0.25">
      <c r="A1" s="2" t="s">
        <v>31</v>
      </c>
    </row>
    <row r="3" spans="1:11" x14ac:dyDescent="0.25">
      <c r="A3" t="s">
        <v>32</v>
      </c>
      <c r="B3">
        <f>SUM(F18:F24)-SUM(E18:E24)</f>
        <v>1231166</v>
      </c>
      <c r="D3" t="s">
        <v>33</v>
      </c>
    </row>
    <row r="4" spans="1:11" x14ac:dyDescent="0.25">
      <c r="A4" t="s">
        <v>34</v>
      </c>
      <c r="B4">
        <v>686000</v>
      </c>
      <c r="D4" t="s">
        <v>66</v>
      </c>
    </row>
    <row r="5" spans="1:11" x14ac:dyDescent="0.25">
      <c r="A5" t="s">
        <v>35</v>
      </c>
      <c r="B5">
        <f>B3-B4</f>
        <v>545166</v>
      </c>
      <c r="D5" t="s">
        <v>36</v>
      </c>
    </row>
    <row r="7" spans="1:11" x14ac:dyDescent="0.25">
      <c r="A7" s="9" t="s">
        <v>37</v>
      </c>
      <c r="B7" s="9">
        <v>0</v>
      </c>
      <c r="C7" s="10"/>
      <c r="D7" s="9" t="s">
        <v>71</v>
      </c>
      <c r="E7" s="10"/>
      <c r="F7" s="10"/>
      <c r="G7" s="10"/>
      <c r="H7" s="10"/>
      <c r="I7" s="10"/>
    </row>
    <row r="8" spans="1:11" x14ac:dyDescent="0.25">
      <c r="A8" t="s">
        <v>38</v>
      </c>
      <c r="B8">
        <f>B7-B5</f>
        <v>-545166</v>
      </c>
    </row>
    <row r="14" spans="1:11" x14ac:dyDescent="0.25">
      <c r="A14" s="2" t="s">
        <v>39</v>
      </c>
    </row>
    <row r="15" spans="1:11" x14ac:dyDescent="0.25">
      <c r="K15" t="s">
        <v>68</v>
      </c>
    </row>
    <row r="16" spans="1:11" x14ac:dyDescent="0.25">
      <c r="E16" t="s">
        <v>40</v>
      </c>
      <c r="I16" t="s">
        <v>67</v>
      </c>
      <c r="K16">
        <f>B8</f>
        <v>-545166</v>
      </c>
    </row>
    <row r="17" spans="1:14" x14ac:dyDescent="0.25">
      <c r="B17" t="s">
        <v>41</v>
      </c>
      <c r="C17" t="s">
        <v>42</v>
      </c>
      <c r="E17" s="6">
        <v>45809</v>
      </c>
      <c r="F17" s="6">
        <v>45992</v>
      </c>
      <c r="M17" t="s">
        <v>69</v>
      </c>
    </row>
    <row r="18" spans="1:14" x14ac:dyDescent="0.25">
      <c r="B18" s="1" t="s">
        <v>43</v>
      </c>
      <c r="C18" s="7">
        <v>0.50890069999999998</v>
      </c>
      <c r="E18">
        <v>39761950</v>
      </c>
      <c r="F18">
        <v>39768888</v>
      </c>
      <c r="H18">
        <v>16</v>
      </c>
      <c r="I18" s="7">
        <v>0.12139709999999999</v>
      </c>
      <c r="K18" s="5">
        <f t="shared" ref="K18:K24" si="0">K$16*I18</f>
        <v>-66181.571418599997</v>
      </c>
      <c r="L18" s="5"/>
      <c r="M18" s="5">
        <f>(F18+K18-E18)*C18</f>
        <v>-30149.094965424665</v>
      </c>
    </row>
    <row r="19" spans="1:14" x14ac:dyDescent="0.25">
      <c r="B19" s="1" t="s">
        <v>44</v>
      </c>
      <c r="C19" s="7">
        <v>0.80120100000000005</v>
      </c>
      <c r="E19">
        <v>45366652</v>
      </c>
      <c r="F19">
        <v>45341138</v>
      </c>
      <c r="H19">
        <v>25</v>
      </c>
      <c r="I19" s="7">
        <v>0.22209499999999999</v>
      </c>
      <c r="K19" s="5">
        <f t="shared" si="0"/>
        <v>-121078.64276999999</v>
      </c>
      <c r="L19" s="5"/>
      <c r="M19" s="5">
        <f t="shared" ref="M19:M24" si="1">(F19+K19-E19)*C19</f>
        <v>-117450.17197996662</v>
      </c>
    </row>
    <row r="20" spans="1:14" x14ac:dyDescent="0.25">
      <c r="B20" s="1" t="s">
        <v>45</v>
      </c>
      <c r="C20" s="7">
        <v>0.81930720000000001</v>
      </c>
      <c r="E20">
        <v>45366173</v>
      </c>
      <c r="F20">
        <v>45648747</v>
      </c>
      <c r="H20">
        <v>35</v>
      </c>
      <c r="I20" s="7">
        <v>0.2434897</v>
      </c>
      <c r="K20" s="5">
        <f t="shared" si="0"/>
        <v>-132742.30579020001</v>
      </c>
      <c r="L20" s="5"/>
      <c r="M20" s="5">
        <f t="shared" si="1"/>
        <v>122758.18585428677</v>
      </c>
    </row>
    <row r="21" spans="1:14" x14ac:dyDescent="0.25">
      <c r="B21" s="1" t="s">
        <v>46</v>
      </c>
      <c r="C21" s="7">
        <v>0.80029530000000004</v>
      </c>
      <c r="E21">
        <v>40413307</v>
      </c>
      <c r="F21">
        <v>40443589</v>
      </c>
      <c r="H21">
        <v>45</v>
      </c>
      <c r="I21" s="7">
        <v>0.1910965</v>
      </c>
      <c r="K21" s="5">
        <f t="shared" si="0"/>
        <v>-104179.31451900001</v>
      </c>
      <c r="L21" s="5"/>
      <c r="M21" s="5">
        <f t="shared" si="1"/>
        <v>-59139.673492179892</v>
      </c>
    </row>
    <row r="22" spans="1:14" x14ac:dyDescent="0.25">
      <c r="B22" s="1" t="s">
        <v>47</v>
      </c>
      <c r="C22" s="7">
        <v>0.64058040000000005</v>
      </c>
      <c r="E22">
        <v>41157282</v>
      </c>
      <c r="F22">
        <v>41059432</v>
      </c>
      <c r="H22">
        <v>55</v>
      </c>
      <c r="I22" s="7">
        <v>0.1275357</v>
      </c>
      <c r="K22" s="5">
        <f t="shared" si="0"/>
        <v>-69528.127426200008</v>
      </c>
      <c r="L22" s="5"/>
      <c r="M22" s="5">
        <f t="shared" si="1"/>
        <v>-107219.14781792593</v>
      </c>
    </row>
    <row r="23" spans="1:14" x14ac:dyDescent="0.25">
      <c r="B23" s="1" t="s">
        <v>48</v>
      </c>
      <c r="C23" s="7">
        <v>0.26265080000000002</v>
      </c>
      <c r="E23">
        <v>35864671</v>
      </c>
      <c r="F23">
        <v>36266464</v>
      </c>
      <c r="H23">
        <v>65</v>
      </c>
      <c r="I23" s="7">
        <v>5.9586800000000002E-2</v>
      </c>
      <c r="K23" s="5">
        <f t="shared" si="0"/>
        <v>-32484.697408800002</v>
      </c>
      <c r="L23" s="5"/>
      <c r="M23" s="5">
        <f t="shared" si="1"/>
        <v>96999.121122220022</v>
      </c>
    </row>
    <row r="24" spans="1:14" x14ac:dyDescent="0.25">
      <c r="B24" s="1" t="s">
        <v>49</v>
      </c>
      <c r="C24" s="7">
        <v>8.3837599999999998E-2</v>
      </c>
      <c r="E24">
        <v>25654920</v>
      </c>
      <c r="F24">
        <v>26287863</v>
      </c>
      <c r="H24">
        <v>75</v>
      </c>
      <c r="I24" s="7">
        <v>3.4799200000000002E-2</v>
      </c>
      <c r="K24" s="5">
        <f t="shared" si="0"/>
        <v>-18971.340667200002</v>
      </c>
      <c r="L24" s="5"/>
      <c r="M24" s="5">
        <f t="shared" si="1"/>
        <v>51473.910386479605</v>
      </c>
    </row>
    <row r="25" spans="1:14" x14ac:dyDescent="0.25">
      <c r="A25" s="1"/>
      <c r="K25" s="5"/>
      <c r="L25" s="5"/>
      <c r="M25" s="5"/>
    </row>
    <row r="26" spans="1:14" x14ac:dyDescent="0.25">
      <c r="A26" s="1"/>
      <c r="B26" t="s">
        <v>63</v>
      </c>
      <c r="E26">
        <f>SUM(E18:E24)</f>
        <v>273584955</v>
      </c>
      <c r="F26">
        <f>SUM(F18:F24)</f>
        <v>274816121</v>
      </c>
      <c r="K26" s="5"/>
      <c r="L26" s="5"/>
      <c r="M26" s="5">
        <f>SUM(M18:M24)/6</f>
        <v>-7121.1451487517843</v>
      </c>
      <c r="N26" t="s">
        <v>70</v>
      </c>
    </row>
    <row r="27" spans="1:14" x14ac:dyDescent="0.25">
      <c r="B27" t="s">
        <v>64</v>
      </c>
      <c r="F27">
        <f>F26-E26</f>
        <v>1231166</v>
      </c>
    </row>
    <row r="33" spans="1:4" x14ac:dyDescent="0.25">
      <c r="A33" s="2" t="s">
        <v>50</v>
      </c>
    </row>
    <row r="35" spans="1:4" x14ac:dyDescent="0.25">
      <c r="A35" t="s">
        <v>51</v>
      </c>
      <c r="B35" s="8">
        <v>0.95996749999999997</v>
      </c>
      <c r="D35" t="s">
        <v>52</v>
      </c>
    </row>
    <row r="36" spans="1:4" x14ac:dyDescent="0.25">
      <c r="A36" t="s">
        <v>53</v>
      </c>
      <c r="B36" s="8">
        <v>0.96245999999999998</v>
      </c>
      <c r="D36" t="s">
        <v>52</v>
      </c>
    </row>
    <row r="37" spans="1:4" x14ac:dyDescent="0.25">
      <c r="A37" t="s">
        <v>60</v>
      </c>
      <c r="B37" s="8">
        <f>(B36-B35)/12</f>
        <v>2.0770833333333405E-4</v>
      </c>
      <c r="D37" t="s">
        <v>59</v>
      </c>
    </row>
    <row r="38" spans="1:4" x14ac:dyDescent="0.25">
      <c r="A38" s="2"/>
    </row>
    <row r="39" spans="1:4" x14ac:dyDescent="0.25">
      <c r="A39" t="s">
        <v>54</v>
      </c>
      <c r="B39" s="5">
        <f>M26*B36</f>
        <v>-6853.8173598676422</v>
      </c>
      <c r="C39" t="s">
        <v>55</v>
      </c>
    </row>
    <row r="40" spans="1:4" x14ac:dyDescent="0.25">
      <c r="A40" t="s">
        <v>56</v>
      </c>
      <c r="B40" s="5">
        <f>B37*163800000</f>
        <v>34022.625000000116</v>
      </c>
      <c r="C40" t="s">
        <v>57</v>
      </c>
    </row>
    <row r="41" spans="1:4" x14ac:dyDescent="0.25">
      <c r="A41" s="2"/>
      <c r="B41" s="5"/>
    </row>
    <row r="42" spans="1:4" x14ac:dyDescent="0.25">
      <c r="A42" s="2" t="s">
        <v>58</v>
      </c>
      <c r="B42" s="5">
        <f>SUM(B39:B40)</f>
        <v>27168.807640132472</v>
      </c>
    </row>
    <row r="43" spans="1:4" x14ac:dyDescent="0.25">
      <c r="A43" s="2"/>
    </row>
    <row r="44" spans="1:4" x14ac:dyDescent="0.25">
      <c r="A44" s="2"/>
    </row>
    <row r="45" spans="1:4" x14ac:dyDescent="0.25">
      <c r="A45" s="2"/>
    </row>
    <row r="46" spans="1:4" x14ac:dyDescent="0.25">
      <c r="A4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c05818cf857ca6ba68dba5c62303c0d0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ec0350a4eec42b5d09705f4652535872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4794EC-8D00-498A-88FB-21EF40DF4E11}"/>
</file>

<file path=customXml/itemProps2.xml><?xml version="1.0" encoding="utf-8"?>
<ds:datastoreItem xmlns:ds="http://schemas.openxmlformats.org/officeDocument/2006/customXml" ds:itemID="{D4D2CC92-48A9-43B7-8D3F-B4E41339A95C}"/>
</file>

<file path=customXml/itemProps3.xml><?xml version="1.0" encoding="utf-8"?>
<ds:datastoreItem xmlns:ds="http://schemas.openxmlformats.org/officeDocument/2006/customXml" ds:itemID="{D91EEC2C-0E2B-4EE8-8EAC-84BC33B3D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 rates</vt:lpstr>
      <vt:lpstr>alternative breakeven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Kolko</dc:creator>
  <cp:lastModifiedBy>Jed Kolko</cp:lastModifiedBy>
  <dcterms:created xsi:type="dcterms:W3CDTF">2025-08-28T10:15:57Z</dcterms:created>
  <dcterms:modified xsi:type="dcterms:W3CDTF">2025-09-03T18:40:43Z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